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270" windowWidth="11595" windowHeight="10485"/>
  </bookViews>
  <sheets>
    <sheet name="ResMat" sheetId="1" r:id="rId1"/>
    <sheet name="Geo" sheetId="2" r:id="rId2"/>
    <sheet name="Unités" sheetId="3" r:id="rId3"/>
    <sheet name="Tables" sheetId="4" r:id="rId4"/>
  </sheets>
  <definedNames>
    <definedName name="Air">Unités!$A$9:$B$15</definedName>
    <definedName name="Ang">Unités!$A$54:$B$56</definedName>
    <definedName name="Fix">Geo!$A$10:$E$12</definedName>
    <definedName name="Flm">Geo!$A$17:$B$20</definedName>
    <definedName name="Frc">Unités!$A$31:$B$34</definedName>
    <definedName name="LnE">Unités!$G$2:$G$7</definedName>
    <definedName name="Lng">Unités!$A$2:$B$7</definedName>
    <definedName name="LnY">Unités!$E$2:$E$7</definedName>
    <definedName name="MIS">Unités!$A$24:$B$29</definedName>
    <definedName name="MmF">Unités!$A$36:$B$39</definedName>
    <definedName name="Prf">Geo!$A$5:$E$8</definedName>
    <definedName name="Prs">Unités!$A$41:$B$45</definedName>
    <definedName name="PsV">Unités!$A$47:$B$52</definedName>
    <definedName name="Rep">Geo!$A$14:$A$15</definedName>
    <definedName name="Sec">Geo!$A$2:$B$3</definedName>
    <definedName name="Tab">Tables!$A$5:$H$17</definedName>
    <definedName name="Vol">Unités!$A$17:$B$22</definedName>
  </definedNames>
  <calcPr calcId="125725"/>
</workbook>
</file>

<file path=xl/calcChain.xml><?xml version="1.0" encoding="utf-8"?>
<calcChain xmlns="http://schemas.openxmlformats.org/spreadsheetml/2006/main">
  <c r="I23" i="1"/>
  <c r="C30" l="1"/>
  <c r="E10" l="1"/>
  <c r="D10"/>
  <c r="B39" i="3" l="1"/>
  <c r="B52"/>
  <c r="B15"/>
  <c r="B22" s="1"/>
  <c r="B29" s="1"/>
  <c r="B14"/>
  <c r="B13"/>
  <c r="B21" s="1"/>
  <c r="B28" s="1"/>
  <c r="H11" i="1"/>
  <c r="F11"/>
  <c r="D11"/>
  <c r="E17"/>
  <c r="F23"/>
  <c r="G29"/>
  <c r="C23"/>
  <c r="C17"/>
  <c r="B45" i="3" l="1"/>
  <c r="G23" i="1"/>
  <c r="G24" s="1"/>
  <c r="D1" i="3"/>
  <c r="E11" i="2"/>
  <c r="J23" i="1" s="1"/>
  <c r="E8" i="2"/>
  <c r="D8"/>
  <c r="E7"/>
  <c r="D7"/>
  <c r="E6"/>
  <c r="E5"/>
  <c r="J5" i="1"/>
  <c r="J6" s="1"/>
  <c r="I5"/>
  <c r="I6" s="1"/>
  <c r="H5"/>
  <c r="H6" s="1"/>
  <c r="G5"/>
  <c r="G6" s="1"/>
  <c r="F5"/>
  <c r="F6" s="1"/>
  <c r="E5"/>
  <c r="E6" s="1"/>
  <c r="D5"/>
  <c r="D6" s="1"/>
  <c r="B56" i="3"/>
  <c r="B55"/>
  <c r="F10" i="1"/>
  <c r="F1" i="3" s="1"/>
  <c r="E6" l="1"/>
  <c r="E5"/>
  <c r="E4"/>
  <c r="E2"/>
  <c r="E3"/>
  <c r="E7"/>
  <c r="G6"/>
  <c r="G3"/>
  <c r="G7"/>
  <c r="G5"/>
  <c r="G4"/>
  <c r="G2"/>
  <c r="E11" i="1"/>
  <c r="F17"/>
  <c r="C11"/>
  <c r="C5" l="1"/>
  <c r="D23" s="1"/>
  <c r="D29" s="1"/>
  <c r="G11" l="1"/>
  <c r="G12" s="1"/>
  <c r="G17" l="1"/>
  <c r="G18" s="1"/>
  <c r="I11"/>
  <c r="I12" s="1"/>
  <c r="E23"/>
  <c r="E24" s="1"/>
  <c r="D24"/>
  <c r="I24"/>
  <c r="D30"/>
  <c r="J11" l="1"/>
  <c r="J12" s="1"/>
  <c r="H17"/>
  <c r="H18" s="1"/>
  <c r="J18"/>
  <c r="I18"/>
  <c r="H23"/>
  <c r="H24" s="1"/>
  <c r="E29"/>
  <c r="D17"/>
  <c r="D18" l="1"/>
  <c r="F18"/>
  <c r="J24"/>
  <c r="F29"/>
  <c r="F30" s="1"/>
  <c r="E30"/>
  <c r="I29"/>
  <c r="I30" s="1"/>
  <c r="H29" l="1"/>
  <c r="J30" s="1"/>
  <c r="H30" l="1"/>
</calcChain>
</file>

<file path=xl/sharedStrings.xml><?xml version="1.0" encoding="utf-8"?>
<sst xmlns="http://schemas.openxmlformats.org/spreadsheetml/2006/main" count="192" uniqueCount="166">
  <si>
    <t>Poids</t>
  </si>
  <si>
    <t>Modules de</t>
  </si>
  <si>
    <t>Limites d'élasticité de</t>
  </si>
  <si>
    <t>Matériaux</t>
  </si>
  <si>
    <t>spécifique</t>
  </si>
  <si>
    <t>élasticité</t>
  </si>
  <si>
    <t>glissement</t>
  </si>
  <si>
    <t>traction</t>
  </si>
  <si>
    <t>compression</t>
  </si>
  <si>
    <t>flexion</t>
  </si>
  <si>
    <t>torsion</t>
  </si>
  <si>
    <t>Pa</t>
  </si>
  <si>
    <t>acier 30 NCD 8</t>
  </si>
  <si>
    <t>acier E 24-2</t>
  </si>
  <si>
    <t>acier ressort 46 S 7</t>
  </si>
  <si>
    <t>aluminium</t>
  </si>
  <si>
    <t>béton</t>
  </si>
  <si>
    <t>bois chêne</t>
  </si>
  <si>
    <t>bois sapin</t>
  </si>
  <si>
    <t>cuivre</t>
  </si>
  <si>
    <t>duralumin</t>
  </si>
  <si>
    <t>fer</t>
  </si>
  <si>
    <t>fonte</t>
  </si>
  <si>
    <t>granit</t>
  </si>
  <si>
    <t>laiton Cu Zn37</t>
  </si>
  <si>
    <t xml:space="preserve">  Matériau</t>
  </si>
  <si>
    <r>
      <t>E</t>
    </r>
    <r>
      <rPr>
        <vertAlign val="subscript"/>
        <sz val="12"/>
        <rFont val="Arial"/>
        <family val="2"/>
      </rPr>
      <t>élast</t>
    </r>
  </si>
  <si>
    <r>
      <t>G</t>
    </r>
    <r>
      <rPr>
        <vertAlign val="subscript"/>
        <sz val="12"/>
        <rFont val="Arial"/>
        <family val="2"/>
      </rPr>
      <t>gliss</t>
    </r>
  </si>
  <si>
    <t>Aire</t>
  </si>
  <si>
    <t>Longueur</t>
  </si>
  <si>
    <t>Volume</t>
  </si>
  <si>
    <r>
      <t>I</t>
    </r>
    <r>
      <rPr>
        <vertAlign val="subscript"/>
        <sz val="12"/>
        <rFont val="Arial"/>
        <family val="2"/>
      </rPr>
      <t>min</t>
    </r>
  </si>
  <si>
    <t>F</t>
  </si>
  <si>
    <t>I.x</t>
  </si>
  <si>
    <t>W.x</t>
  </si>
  <si>
    <t>F.y</t>
  </si>
  <si>
    <t>M.y</t>
  </si>
  <si>
    <t>flèche.y</t>
  </si>
  <si>
    <t>I.y</t>
  </si>
  <si>
    <t>Io</t>
  </si>
  <si>
    <t>Wo</t>
  </si>
  <si>
    <t>Mo</t>
  </si>
  <si>
    <t>Lng</t>
  </si>
  <si>
    <t>m</t>
  </si>
  <si>
    <t>dm</t>
  </si>
  <si>
    <t>cm</t>
  </si>
  <si>
    <t>mm</t>
  </si>
  <si>
    <t>Air</t>
  </si>
  <si>
    <t>Aire, surface</t>
  </si>
  <si>
    <t>m²</t>
  </si>
  <si>
    <t>dm²</t>
  </si>
  <si>
    <t>cm²</t>
  </si>
  <si>
    <t>mm²</t>
  </si>
  <si>
    <t>Vol</t>
  </si>
  <si>
    <t>m³</t>
  </si>
  <si>
    <t>dm³</t>
  </si>
  <si>
    <t>cm³</t>
  </si>
  <si>
    <t>mm³</t>
  </si>
  <si>
    <t>MIS</t>
  </si>
  <si>
    <t>Moment d'inertie de surface</t>
  </si>
  <si>
    <t>Frc</t>
  </si>
  <si>
    <t>Force, poids</t>
  </si>
  <si>
    <t>N</t>
  </si>
  <si>
    <t>kgf</t>
  </si>
  <si>
    <t>t</t>
  </si>
  <si>
    <t>MmF</t>
  </si>
  <si>
    <t>Moment de force</t>
  </si>
  <si>
    <t>N·m</t>
  </si>
  <si>
    <t>kgf·m</t>
  </si>
  <si>
    <t>kgf·cm</t>
  </si>
  <si>
    <t>Prs</t>
  </si>
  <si>
    <t>Pression, contrainte mécanique</t>
  </si>
  <si>
    <t>MPa</t>
  </si>
  <si>
    <t>kgf/cm²</t>
  </si>
  <si>
    <t>kgf/mm²</t>
  </si>
  <si>
    <t>PsV</t>
  </si>
  <si>
    <t>Poids volumique, poids spécifique</t>
  </si>
  <si>
    <t>N/m³</t>
  </si>
  <si>
    <t>N/dm³</t>
  </si>
  <si>
    <t>kgf/m³</t>
  </si>
  <si>
    <t>kgf/dm³</t>
  </si>
  <si>
    <t>Ang</t>
  </si>
  <si>
    <t>Angle plan</t>
  </si>
  <si>
    <t>rad</t>
  </si>
  <si>
    <t>°</t>
  </si>
  <si>
    <t>e</t>
  </si>
  <si>
    <t>Sec</t>
  </si>
  <si>
    <t>carré</t>
  </si>
  <si>
    <t>c</t>
  </si>
  <si>
    <t>rectangle</t>
  </si>
  <si>
    <t>c.x</t>
  </si>
  <si>
    <t>c.y</t>
  </si>
  <si>
    <t>cercle</t>
  </si>
  <si>
    <t>ø</t>
  </si>
  <si>
    <t>ellipse</t>
  </si>
  <si>
    <t>ø.x</t>
  </si>
  <si>
    <t>ø.y</t>
  </si>
  <si>
    <t>Prf</t>
  </si>
  <si>
    <t>x</t>
  </si>
  <si>
    <t>y</t>
  </si>
  <si>
    <t>Fix</t>
  </si>
  <si>
    <t>encastré        libre</t>
  </si>
  <si>
    <t>appui           appui</t>
  </si>
  <si>
    <t>encastré  encastré</t>
  </si>
  <si>
    <t>Rep</t>
  </si>
  <si>
    <t>force ponctuelle</t>
  </si>
  <si>
    <t>Flm</t>
  </si>
  <si>
    <t>articulé       guidé</t>
  </si>
  <si>
    <t>encastré      guidé</t>
  </si>
  <si>
    <t>-</t>
  </si>
  <si>
    <t>fixation/flambage</t>
  </si>
  <si>
    <t>flambage</t>
  </si>
  <si>
    <t>t/m³</t>
  </si>
  <si>
    <r>
      <t>E</t>
    </r>
    <r>
      <rPr>
        <b/>
        <vertAlign val="subscript"/>
        <sz val="12"/>
        <rFont val="Arial"/>
        <family val="2"/>
      </rPr>
      <t>élast</t>
    </r>
  </si>
  <si>
    <r>
      <t>G</t>
    </r>
    <r>
      <rPr>
        <b/>
        <vertAlign val="subscript"/>
        <sz val="12"/>
        <rFont val="Arial"/>
        <family val="2"/>
      </rPr>
      <t>gliss</t>
    </r>
  </si>
  <si>
    <t>l</t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</si>
  <si>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trac</t>
    </r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</si>
  <si>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compr</t>
    </r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</si>
  <si>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flex</t>
    </r>
  </si>
  <si>
    <r>
      <rPr>
        <b/>
        <sz val="12"/>
        <rFont val="Symbol"/>
        <family val="1"/>
        <charset val="2"/>
      </rPr>
      <t>t</t>
    </r>
    <r>
      <rPr>
        <b/>
        <vertAlign val="subscript"/>
        <sz val="12"/>
        <rFont val="Arial"/>
        <family val="2"/>
      </rPr>
      <t>tors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</si>
  <si>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trac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</si>
  <si>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compr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</si>
  <si>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flex</t>
    </r>
  </si>
  <si>
    <r>
      <rPr>
        <sz val="12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tors</t>
    </r>
  </si>
  <si>
    <t>s</t>
  </si>
  <si>
    <r>
      <rPr>
        <sz val="12"/>
        <rFont val="Symbol"/>
        <family val="1"/>
        <charset val="2"/>
      </rPr>
      <t>D</t>
    </r>
    <r>
      <rPr>
        <sz val="12"/>
        <color theme="1"/>
        <rFont val="Arial"/>
        <family val="2"/>
      </rPr>
      <t>l</t>
    </r>
  </si>
  <si>
    <t>Da</t>
  </si>
  <si>
    <t>F·l/W</t>
  </si>
  <si>
    <t>G·l/W</t>
  </si>
  <si>
    <r>
      <t>F·l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/E/I</t>
    </r>
  </si>
  <si>
    <r>
      <t>G·l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/E/I</t>
    </r>
  </si>
  <si>
    <t>profil plein</t>
  </si>
  <si>
    <t>Géométrie</t>
  </si>
  <si>
    <t>compress</t>
  </si>
  <si>
    <t>I</t>
  </si>
  <si>
    <t>ft</t>
  </si>
  <si>
    <t>in</t>
  </si>
  <si>
    <t>(US: 0.30480061)</t>
  </si>
  <si>
    <t>(US: 0.025400051)</t>
  </si>
  <si>
    <t>ft²</t>
  </si>
  <si>
    <t>ft·in</t>
  </si>
  <si>
    <t>in²</t>
  </si>
  <si>
    <t>lbf</t>
  </si>
  <si>
    <t>ft³</t>
  </si>
  <si>
    <t>in³</t>
  </si>
  <si>
    <t>psi</t>
  </si>
  <si>
    <t>lbf/ft³</t>
  </si>
  <si>
    <t>tr</t>
  </si>
  <si>
    <t>lbf·ft</t>
  </si>
  <si>
    <t>15.04.2016, by William VOIROL, Switzerland</t>
  </si>
  <si>
    <t>LnY</t>
  </si>
  <si>
    <t>LnE</t>
  </si>
  <si>
    <r>
      <t>coef</t>
    </r>
    <r>
      <rPr>
        <vertAlign val="subscript"/>
        <sz val="12"/>
        <rFont val="Arial"/>
        <family val="2"/>
      </rPr>
      <t>sécurité</t>
    </r>
  </si>
  <si>
    <t>Résistance des matériaux: calculs simples</t>
  </si>
  <si>
    <t>Force axiale</t>
  </si>
  <si>
    <t>Force latérale</t>
  </si>
  <si>
    <t>Moment axial</t>
  </si>
  <si>
    <t>profil creux</t>
  </si>
  <si>
    <t>force répartie</t>
  </si>
  <si>
    <t>m⁴</t>
  </si>
  <si>
    <t>dm⁴</t>
  </si>
  <si>
    <t>cm⁴</t>
  </si>
  <si>
    <t>mm⁴</t>
  </si>
  <si>
    <t>ft⁴</t>
  </si>
  <si>
    <t>in⁴</t>
  </si>
  <si>
    <t>Version corrigée du 4 mars 2017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</si>
</sst>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23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vertAlign val="subscript"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rgb="FF0070C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2"/>
      <name val="Symbol"/>
      <family val="1"/>
      <charset val="2"/>
    </font>
    <font>
      <sz val="12"/>
      <name val="Symbol"/>
      <family val="1"/>
      <charset val="2"/>
    </font>
    <font>
      <vertAlign val="superscript"/>
      <sz val="10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theme="3" tint="0.39997558519241921"/>
      <name val="Arial"/>
      <family val="2"/>
    </font>
    <font>
      <b/>
      <sz val="10"/>
      <color theme="3" tint="0.3999755851924192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7A95EA"/>
        <bgColor indexed="64"/>
      </patternFill>
    </fill>
    <fill>
      <patternFill patternType="solid">
        <fgColor rgb="FFCCFF33"/>
        <bgColor indexed="64"/>
      </patternFill>
    </fill>
    <fill>
      <patternFill patternType="lightUp">
        <bgColor rgb="FFCCFF33"/>
      </patternFill>
    </fill>
    <fill>
      <patternFill patternType="lightUp">
        <bgColor theme="8" tint="0.59999389629810485"/>
      </patternFill>
    </fill>
    <fill>
      <patternFill patternType="lightUp">
        <bgColor theme="9" tint="0.59999389629810485"/>
      </patternFill>
    </fill>
    <fill>
      <patternFill patternType="solid">
        <fgColor rgb="FFC0C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7" tint="0.399975585192419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4">
    <xf numFmtId="0" fontId="0" fillId="0" borderId="0" xfId="0"/>
    <xf numFmtId="0" fontId="2" fillId="0" borderId="0" xfId="1" applyNumberFormat="1" applyFont="1" applyAlignment="1">
      <alignment horizontal="left" vertical="center"/>
    </xf>
    <xf numFmtId="0" fontId="2" fillId="0" borderId="0" xfId="1" applyNumberFormat="1" applyFont="1" applyAlignment="1">
      <alignment horizontal="center" vertical="center"/>
    </xf>
    <xf numFmtId="0" fontId="1" fillId="4" borderId="1" xfId="1" applyNumberFormat="1" applyFont="1" applyFill="1" applyBorder="1" applyAlignment="1">
      <alignment horizontal="left" vertical="center"/>
    </xf>
    <xf numFmtId="0" fontId="1" fillId="2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NumberFormat="1" applyFont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0" applyNumberFormat="1" applyFont="1" applyFill="1" applyBorder="1" applyAlignment="1">
      <alignment horizontal="left"/>
    </xf>
    <xf numFmtId="0" fontId="6" fillId="0" borderId="0" xfId="0" applyFont="1"/>
    <xf numFmtId="0" fontId="9" fillId="0" borderId="0" xfId="0" applyFont="1"/>
    <xf numFmtId="0" fontId="8" fillId="3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2" fillId="0" borderId="1" xfId="1" applyNumberFormat="1" applyFont="1" applyBorder="1" applyAlignment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14" fillId="0" borderId="7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NumberFormat="1" applyFont="1"/>
    <xf numFmtId="0" fontId="12" fillId="20" borderId="9" xfId="2" applyNumberFormat="1" applyFont="1" applyFill="1" applyBorder="1" applyAlignment="1" applyProtection="1">
      <alignment horizontal="center" vertical="center"/>
    </xf>
    <xf numFmtId="0" fontId="4" fillId="20" borderId="10" xfId="2" applyNumberFormat="1" applyFont="1" applyFill="1" applyBorder="1" applyAlignment="1" applyProtection="1">
      <alignment horizontal="center" vertical="center"/>
    </xf>
    <xf numFmtId="0" fontId="4" fillId="3" borderId="10" xfId="2" applyNumberFormat="1" applyFont="1" applyFill="1" applyBorder="1" applyAlignment="1" applyProtection="1">
      <alignment horizontal="center" vertical="center"/>
    </xf>
    <xf numFmtId="0" fontId="15" fillId="3" borderId="11" xfId="2" applyNumberFormat="1" applyFont="1" applyFill="1" applyBorder="1" applyAlignment="1" applyProtection="1">
      <alignment horizontal="center" vertical="center"/>
    </xf>
    <xf numFmtId="0" fontId="11" fillId="16" borderId="9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 vertical="center"/>
    </xf>
    <xf numFmtId="0" fontId="5" fillId="3" borderId="11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/>
    </xf>
    <xf numFmtId="0" fontId="15" fillId="3" borderId="10" xfId="0" applyNumberFormat="1" applyFont="1" applyFill="1" applyBorder="1" applyAlignment="1" applyProtection="1">
      <alignment horizontal="center"/>
    </xf>
    <xf numFmtId="0" fontId="4" fillId="3" borderId="10" xfId="0" applyNumberFormat="1" applyFont="1" applyFill="1" applyBorder="1" applyAlignment="1" applyProtection="1">
      <alignment horizontal="center" vertical="center"/>
    </xf>
    <xf numFmtId="0" fontId="4" fillId="3" borderId="10" xfId="0" applyNumberFormat="1" applyFont="1" applyFill="1" applyBorder="1" applyAlignment="1" applyProtection="1">
      <alignment horizont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0" fontId="2" fillId="23" borderId="6" xfId="1" applyNumberFormat="1" applyFont="1" applyFill="1" applyBorder="1" applyAlignment="1">
      <alignment horizontal="centerContinuous" vertical="center"/>
    </xf>
    <xf numFmtId="0" fontId="2" fillId="23" borderId="5" xfId="1" applyNumberFormat="1" applyFont="1" applyFill="1" applyBorder="1" applyAlignment="1">
      <alignment horizontal="centerContinuous" vertical="center"/>
    </xf>
    <xf numFmtId="0" fontId="2" fillId="8" borderId="4" xfId="1" applyNumberFormat="1" applyFont="1" applyFill="1" applyBorder="1" applyAlignment="1">
      <alignment horizontal="centerContinuous" vertical="center"/>
    </xf>
    <xf numFmtId="0" fontId="2" fillId="8" borderId="6" xfId="1" applyNumberFormat="1" applyFont="1" applyFill="1" applyBorder="1" applyAlignment="1">
      <alignment horizontal="centerContinuous" vertical="center"/>
    </xf>
    <xf numFmtId="0" fontId="2" fillId="8" borderId="5" xfId="1" applyNumberFormat="1" applyFont="1" applyFill="1" applyBorder="1" applyAlignment="1">
      <alignment horizontal="centerContinuous" vertical="center"/>
    </xf>
    <xf numFmtId="0" fontId="2" fillId="24" borderId="8" xfId="1" applyNumberFormat="1" applyFont="1" applyFill="1" applyBorder="1" applyAlignment="1">
      <alignment horizontal="center" vertical="center"/>
    </xf>
    <xf numFmtId="0" fontId="2" fillId="24" borderId="7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8" fillId="25" borderId="1" xfId="0" applyNumberFormat="1" applyFont="1" applyFill="1" applyBorder="1" applyAlignment="1">
      <alignment horizontal="left"/>
    </xf>
    <xf numFmtId="0" fontId="9" fillId="25" borderId="1" xfId="0" applyFont="1" applyFill="1" applyBorder="1" applyAlignment="1">
      <alignment horizontal="center"/>
    </xf>
    <xf numFmtId="0" fontId="9" fillId="16" borderId="0" xfId="0" applyFont="1" applyFill="1" applyAlignment="1">
      <alignment horizontal="center"/>
    </xf>
    <xf numFmtId="0" fontId="9" fillId="16" borderId="1" xfId="0" applyFont="1" applyFill="1" applyBorder="1" applyAlignment="1">
      <alignment horizontal="center"/>
    </xf>
    <xf numFmtId="0" fontId="1" fillId="11" borderId="10" xfId="0" applyNumberFormat="1" applyFont="1" applyFill="1" applyBorder="1" applyAlignment="1" applyProtection="1">
      <alignment horizontal="center" vertical="center"/>
    </xf>
    <xf numFmtId="0" fontId="11" fillId="8" borderId="9" xfId="0" applyNumberFormat="1" applyFont="1" applyFill="1" applyBorder="1" applyAlignment="1" applyProtection="1">
      <alignment horizontal="center" vertical="center"/>
    </xf>
    <xf numFmtId="0" fontId="11" fillId="7" borderId="9" xfId="0" applyNumberFormat="1" applyFont="1" applyFill="1" applyBorder="1" applyAlignment="1" applyProtection="1">
      <alignment horizontal="center" vertical="center"/>
    </xf>
    <xf numFmtId="0" fontId="11" fillId="6" borderId="9" xfId="0" applyNumberFormat="1" applyFont="1" applyFill="1" applyBorder="1" applyAlignment="1" applyProtection="1">
      <alignment horizontal="center" vertical="center"/>
    </xf>
    <xf numFmtId="0" fontId="1" fillId="3" borderId="10" xfId="2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0" fontId="5" fillId="17" borderId="12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3" xfId="0" applyFont="1" applyFill="1" applyBorder="1" applyAlignment="1" applyProtection="1">
      <alignment horizontal="center"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locked="0"/>
    </xf>
    <xf numFmtId="0" fontId="5" fillId="5" borderId="14" xfId="0" applyFont="1" applyFill="1" applyBorder="1" applyAlignment="1" applyProtection="1">
      <alignment horizontal="center" vertical="center"/>
      <protection locked="0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0" fontId="5" fillId="5" borderId="16" xfId="0" applyFont="1" applyFill="1" applyBorder="1" applyAlignment="1" applyProtection="1">
      <alignment horizontal="center" vertical="center"/>
      <protection locked="0"/>
    </xf>
    <xf numFmtId="0" fontId="10" fillId="5" borderId="0" xfId="0" applyFont="1" applyFill="1" applyAlignment="1" applyProtection="1">
      <alignment horizontal="center" vertical="center"/>
      <protection locked="0"/>
    </xf>
    <xf numFmtId="0" fontId="5" fillId="5" borderId="0" xfId="0" applyFont="1" applyFill="1" applyBorder="1" applyAlignment="1" applyProtection="1">
      <alignment horizontal="center" vertical="center"/>
      <protection locked="0"/>
    </xf>
    <xf numFmtId="0" fontId="5" fillId="16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17" borderId="1" xfId="0" applyFont="1" applyFill="1" applyBorder="1" applyAlignment="1" applyProtection="1">
      <alignment horizontal="center" vertical="center"/>
      <protection locked="0"/>
    </xf>
    <xf numFmtId="0" fontId="5" fillId="17" borderId="13" xfId="0" applyFont="1" applyFill="1" applyBorder="1" applyAlignment="1" applyProtection="1">
      <alignment horizontal="center" vertical="center"/>
      <protection locked="0"/>
    </xf>
    <xf numFmtId="0" fontId="5" fillId="10" borderId="1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Alignment="1" applyProtection="1">
      <alignment horizontal="center" vertical="center"/>
      <protection locked="0"/>
    </xf>
    <xf numFmtId="0" fontId="5" fillId="19" borderId="12" xfId="0" applyFont="1" applyFill="1" applyBorder="1" applyAlignment="1" applyProtection="1">
      <alignment horizontal="center" vertical="center"/>
      <protection locked="0"/>
    </xf>
    <xf numFmtId="0" fontId="5" fillId="19" borderId="1" xfId="0" applyFont="1" applyFill="1" applyBorder="1" applyAlignment="1" applyProtection="1">
      <alignment horizontal="center" vertical="center"/>
      <protection locked="0"/>
    </xf>
    <xf numFmtId="0" fontId="5" fillId="19" borderId="13" xfId="0" applyFont="1" applyFill="1" applyBorder="1" applyAlignment="1" applyProtection="1">
      <alignment horizontal="center" vertical="center"/>
      <protection locked="0"/>
    </xf>
    <xf numFmtId="0" fontId="5" fillId="8" borderId="12" xfId="0" applyFont="1" applyFill="1" applyBorder="1" applyAlignment="1" applyProtection="1">
      <alignment horizontal="center" vertical="center"/>
      <protection locked="0"/>
    </xf>
    <xf numFmtId="0" fontId="5" fillId="8" borderId="15" xfId="0" applyFont="1" applyFill="1" applyBorder="1" applyAlignment="1" applyProtection="1">
      <alignment horizontal="center" vertical="center"/>
      <protection locked="0"/>
    </xf>
    <xf numFmtId="0" fontId="5" fillId="21" borderId="0" xfId="0" applyFont="1" applyFill="1" applyAlignment="1" applyProtection="1">
      <alignment horizontal="center" vertical="center"/>
      <protection locked="0"/>
    </xf>
    <xf numFmtId="0" fontId="5" fillId="22" borderId="12" xfId="0" applyFont="1" applyFill="1" applyBorder="1" applyAlignment="1" applyProtection="1">
      <alignment horizontal="center" vertical="center"/>
      <protection locked="0"/>
    </xf>
    <xf numFmtId="0" fontId="5" fillId="22" borderId="1" xfId="0" applyFont="1" applyFill="1" applyBorder="1" applyAlignment="1" applyProtection="1">
      <alignment horizontal="center" vertical="center"/>
      <protection locked="0"/>
    </xf>
    <xf numFmtId="0" fontId="5" fillId="22" borderId="13" xfId="0" applyFont="1" applyFill="1" applyBorder="1" applyAlignment="1" applyProtection="1">
      <alignment horizontal="center" vertical="center"/>
      <protection locked="0"/>
    </xf>
    <xf numFmtId="0" fontId="5" fillId="7" borderId="12" xfId="0" applyFont="1" applyFill="1" applyBorder="1" applyAlignment="1" applyProtection="1">
      <alignment horizontal="center" vertical="center"/>
      <protection locked="0"/>
    </xf>
    <xf numFmtId="0" fontId="5" fillId="7" borderId="14" xfId="0" applyFont="1" applyFill="1" applyBorder="1" applyAlignment="1" applyProtection="1">
      <alignment horizontal="center" vertical="center"/>
      <protection locked="0"/>
    </xf>
    <xf numFmtId="0" fontId="5" fillId="7" borderId="15" xfId="0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Alignment="1" applyProtection="1">
      <alignment horizontal="center" vertical="center"/>
      <protection locked="0"/>
    </xf>
    <xf numFmtId="0" fontId="5" fillId="18" borderId="12" xfId="0" applyFont="1" applyFill="1" applyBorder="1" applyAlignment="1" applyProtection="1">
      <alignment horizontal="center" vertical="center"/>
      <protection locked="0"/>
    </xf>
    <xf numFmtId="0" fontId="5" fillId="18" borderId="1" xfId="0" applyFont="1" applyFill="1" applyBorder="1" applyAlignment="1" applyProtection="1">
      <alignment horizontal="center" vertical="center"/>
      <protection locked="0"/>
    </xf>
    <xf numFmtId="0" fontId="5" fillId="18" borderId="13" xfId="0" applyFont="1" applyFill="1" applyBorder="1" applyAlignment="1" applyProtection="1">
      <alignment horizontal="center" vertical="center"/>
      <protection locked="0"/>
    </xf>
    <xf numFmtId="0" fontId="5" fillId="6" borderId="15" xfId="0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Alignment="1" applyProtection="1">
      <alignment horizontal="center"/>
      <protection locked="0"/>
    </xf>
    <xf numFmtId="164" fontId="17" fillId="6" borderId="0" xfId="0" applyNumberFormat="1" applyFont="1" applyFill="1" applyAlignment="1" applyProtection="1">
      <alignment horizontal="center"/>
      <protection locked="0"/>
    </xf>
    <xf numFmtId="0" fontId="17" fillId="6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right" vertical="center"/>
    </xf>
    <xf numFmtId="0" fontId="5" fillId="13" borderId="1" xfId="0" applyFont="1" applyFill="1" applyBorder="1" applyAlignment="1" applyProtection="1">
      <alignment horizontal="center" vertical="center"/>
    </xf>
    <xf numFmtId="0" fontId="5" fillId="13" borderId="13" xfId="0" applyFont="1" applyFill="1" applyBorder="1" applyAlignment="1" applyProtection="1">
      <alignment horizontal="center" vertical="center"/>
    </xf>
    <xf numFmtId="0" fontId="5" fillId="5" borderId="14" xfId="0" applyFont="1" applyFill="1" applyBorder="1" applyAlignment="1" applyProtection="1">
      <alignment horizontal="center" vertical="center"/>
    </xf>
    <xf numFmtId="0" fontId="5" fillId="14" borderId="1" xfId="0" applyFont="1" applyFill="1" applyBorder="1" applyAlignment="1" applyProtection="1">
      <alignment horizontal="center" vertical="center"/>
    </xf>
    <xf numFmtId="0" fontId="5" fillId="14" borderId="13" xfId="0" applyFont="1" applyFill="1" applyBorder="1" applyAlignment="1" applyProtection="1">
      <alignment horizontal="center" vertical="center"/>
    </xf>
    <xf numFmtId="2" fontId="5" fillId="12" borderId="1" xfId="0" applyNumberFormat="1" applyFont="1" applyFill="1" applyBorder="1" applyAlignment="1" applyProtection="1">
      <alignment horizontal="center" vertical="center"/>
    </xf>
    <xf numFmtId="0" fontId="5" fillId="15" borderId="1" xfId="0" applyFont="1" applyFill="1" applyBorder="1" applyAlignment="1" applyProtection="1">
      <alignment horizontal="center" vertical="center"/>
    </xf>
    <xf numFmtId="2" fontId="5" fillId="12" borderId="13" xfId="0" applyNumberFormat="1" applyFont="1" applyFill="1" applyBorder="1" applyAlignment="1" applyProtection="1">
      <alignment horizontal="center" vertical="center"/>
    </xf>
    <xf numFmtId="0" fontId="9" fillId="8" borderId="14" xfId="0" applyFont="1" applyFill="1" applyBorder="1" applyAlignment="1" applyProtection="1">
      <alignment horizontal="center" vertical="center"/>
    </xf>
    <xf numFmtId="0" fontId="11" fillId="11" borderId="15" xfId="0" applyFont="1" applyFill="1" applyBorder="1" applyAlignment="1" applyProtection="1">
      <alignment horizontal="center" vertical="center"/>
    </xf>
    <xf numFmtId="0" fontId="11" fillId="11" borderId="16" xfId="0" applyFont="1" applyFill="1" applyBorder="1" applyAlignment="1" applyProtection="1">
      <alignment horizontal="center" vertical="center"/>
    </xf>
    <xf numFmtId="0" fontId="18" fillId="6" borderId="12" xfId="0" applyFont="1" applyFill="1" applyBorder="1" applyAlignment="1" applyProtection="1">
      <alignment horizontal="center" vertical="center"/>
    </xf>
    <xf numFmtId="0" fontId="5" fillId="6" borderId="14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33CC33"/>
      <color rgb="FFCCFF33"/>
      <color rgb="FF00FF00"/>
      <color rgb="FFC0C0C0"/>
      <color rgb="FF99CC00"/>
      <color rgb="FF7A95EA"/>
      <color rgb="FF5D7DE5"/>
      <color rgb="FF8B8BE5"/>
      <color rgb="FF94DE00"/>
      <color rgb="FF08C427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showGridLines="0" showRowColHeaders="0" tabSelected="1" zoomScaleNormal="100" workbookViewId="0"/>
  </sheetViews>
  <sheetFormatPr baseColWidth="10" defaultRowHeight="20.100000000000001" customHeight="1"/>
  <cols>
    <col min="1" max="2" width="1.28515625" style="57" customWidth="1"/>
    <col min="3" max="3" width="17.7109375" style="57" customWidth="1"/>
    <col min="4" max="10" width="11.28515625" style="57" customWidth="1"/>
    <col min="11" max="11" width="1.28515625" style="57" customWidth="1"/>
    <col min="12" max="16384" width="11.42578125" style="57"/>
  </cols>
  <sheetData>
    <row r="1" spans="1:13" ht="8.1" customHeight="1"/>
    <row r="2" spans="1:13" s="59" customFormat="1" ht="12.75">
      <c r="A2" s="58"/>
      <c r="C2" s="99" t="s">
        <v>153</v>
      </c>
      <c r="J2" s="100" t="s">
        <v>149</v>
      </c>
    </row>
    <row r="3" spans="1:13" ht="8.1" customHeight="1" thickBot="1"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3" ht="20.100000000000001" customHeight="1">
      <c r="B4" s="60"/>
      <c r="C4" s="26" t="s">
        <v>25</v>
      </c>
      <c r="D4" s="27" t="s">
        <v>26</v>
      </c>
      <c r="E4" s="56" t="s">
        <v>27</v>
      </c>
      <c r="F4" s="28" t="s">
        <v>120</v>
      </c>
      <c r="G4" s="28" t="s">
        <v>121</v>
      </c>
      <c r="H4" s="28" t="s">
        <v>122</v>
      </c>
      <c r="I4" s="28" t="s">
        <v>123</v>
      </c>
      <c r="J4" s="29" t="s">
        <v>115</v>
      </c>
      <c r="K4" s="60"/>
    </row>
    <row r="5" spans="1:13" ht="20.100000000000001" hidden="1" customHeight="1">
      <c r="B5" s="60"/>
      <c r="C5" s="61">
        <f>IF(C12=2,E11-2*F11,0)</f>
        <v>0</v>
      </c>
      <c r="D5" s="62">
        <f>INDEX(Tab,$C6,3)</f>
        <v>10000000000</v>
      </c>
      <c r="E5" s="62">
        <f>INDEX(Tab,$C6,4)</f>
        <v>3850000000</v>
      </c>
      <c r="F5" s="62">
        <f>INDEX(Tab,$C6,5)</f>
        <v>47000000</v>
      </c>
      <c r="G5" s="62">
        <f>INDEX(Tab,$C6,6)</f>
        <v>15000000</v>
      </c>
      <c r="H5" s="62">
        <f>INDEX(Tab,$C6,7)</f>
        <v>15000000</v>
      </c>
      <c r="I5" s="62">
        <f>INDEX(Tab,$C6,8)</f>
        <v>9000000</v>
      </c>
      <c r="J5" s="63">
        <f>INDEX(Tab,$C6,2)</f>
        <v>5982</v>
      </c>
      <c r="K5" s="60"/>
    </row>
    <row r="6" spans="1:13" ht="20.100000000000001" customHeight="1">
      <c r="B6" s="60"/>
      <c r="C6" s="64">
        <v>7</v>
      </c>
      <c r="D6" s="101">
        <f t="shared" ref="D6:I6" si="0">D5/INDEX(Prs,D7,2)</f>
        <v>10000</v>
      </c>
      <c r="E6" s="101">
        <f t="shared" si="0"/>
        <v>3850</v>
      </c>
      <c r="F6" s="101">
        <f t="shared" si="0"/>
        <v>47</v>
      </c>
      <c r="G6" s="101">
        <f t="shared" si="0"/>
        <v>15</v>
      </c>
      <c r="H6" s="101">
        <f t="shared" si="0"/>
        <v>15</v>
      </c>
      <c r="I6" s="101">
        <f t="shared" si="0"/>
        <v>9</v>
      </c>
      <c r="J6" s="102">
        <f>J5/INDEX(PsV,J7,2)</f>
        <v>5982</v>
      </c>
      <c r="K6" s="60"/>
    </row>
    <row r="7" spans="1:13" ht="20.100000000000001" customHeight="1" thickBot="1">
      <c r="B7" s="60"/>
      <c r="C7" s="103"/>
      <c r="D7" s="66">
        <v>2</v>
      </c>
      <c r="E7" s="66">
        <v>2</v>
      </c>
      <c r="F7" s="66">
        <v>2</v>
      </c>
      <c r="G7" s="66">
        <v>2</v>
      </c>
      <c r="H7" s="66">
        <v>2</v>
      </c>
      <c r="I7" s="66">
        <v>2</v>
      </c>
      <c r="J7" s="67">
        <v>1</v>
      </c>
      <c r="K7" s="60"/>
    </row>
    <row r="8" spans="1:13" ht="8.1" customHeight="1">
      <c r="B8" s="60"/>
      <c r="C8" s="68"/>
      <c r="D8" s="69"/>
      <c r="E8" s="69"/>
      <c r="F8" s="69"/>
      <c r="G8" s="69"/>
      <c r="H8" s="69"/>
      <c r="I8" s="69"/>
      <c r="J8" s="69"/>
      <c r="K8" s="60"/>
    </row>
    <row r="9" spans="1:13" ht="8.1" customHeight="1" thickBot="1">
      <c r="B9" s="70"/>
      <c r="C9" s="70"/>
      <c r="D9" s="70"/>
      <c r="E9" s="70"/>
      <c r="F9" s="70"/>
      <c r="G9" s="70"/>
      <c r="H9" s="70"/>
      <c r="I9" s="70"/>
      <c r="J9" s="70"/>
      <c r="K9" s="70"/>
    </row>
    <row r="10" spans="1:13" ht="20.100000000000001" customHeight="1">
      <c r="B10" s="70"/>
      <c r="C10" s="30" t="s">
        <v>132</v>
      </c>
      <c r="D10" s="31" t="str">
        <f>INDEX(Prf,C13,2)</f>
        <v>c</v>
      </c>
      <c r="E10" s="31" t="str">
        <f>INDEX(Prf,C13,3)</f>
        <v>-</v>
      </c>
      <c r="F10" s="31" t="str">
        <f>INDEX(Sec,C12,2)</f>
        <v>-</v>
      </c>
      <c r="G10" s="31" t="s">
        <v>28</v>
      </c>
      <c r="H10" s="31" t="s">
        <v>29</v>
      </c>
      <c r="I10" s="31" t="s">
        <v>30</v>
      </c>
      <c r="J10" s="32" t="s">
        <v>0</v>
      </c>
      <c r="K10" s="70"/>
      <c r="M10" s="71"/>
    </row>
    <row r="11" spans="1:13" ht="20.100000000000001" hidden="1" customHeight="1">
      <c r="B11" s="70"/>
      <c r="C11" s="61">
        <f>IF(C12=2,D11-2*F11,0)</f>
        <v>0</v>
      </c>
      <c r="D11" s="72">
        <f>D12*INDEX(Lng,D13,2)</f>
        <v>0.06</v>
      </c>
      <c r="E11" s="72">
        <f>IF(E10="-",D11,E12*INDEX(Lng,E13,2))</f>
        <v>0.06</v>
      </c>
      <c r="F11" s="72">
        <f>F12*INDEX(Lng,F13,2)</f>
        <v>0</v>
      </c>
      <c r="G11" s="72">
        <f>(D11*E11-C11*C5)*INDEX(Prf,C13,4)</f>
        <v>3.5999999999999999E-3</v>
      </c>
      <c r="H11" s="72">
        <f>H12*INDEX(Lng,H13,2)</f>
        <v>1.25</v>
      </c>
      <c r="I11" s="72">
        <f>G11*H11</f>
        <v>4.4999999999999997E-3</v>
      </c>
      <c r="J11" s="73">
        <f>I11*J5</f>
        <v>26.918999999999997</v>
      </c>
      <c r="K11" s="70"/>
    </row>
    <row r="12" spans="1:13" ht="20.100000000000001" customHeight="1">
      <c r="B12" s="70"/>
      <c r="C12" s="64">
        <v>1</v>
      </c>
      <c r="D12" s="74">
        <v>60</v>
      </c>
      <c r="E12" s="74">
        <v>0</v>
      </c>
      <c r="F12" s="74">
        <v>0</v>
      </c>
      <c r="G12" s="104">
        <f>G11/INDEX(Air,G13,2)</f>
        <v>36</v>
      </c>
      <c r="H12" s="74">
        <v>1.25</v>
      </c>
      <c r="I12" s="104">
        <f>I11/INDEX(Vol,I13,2)</f>
        <v>4.5</v>
      </c>
      <c r="J12" s="105">
        <f>J11/INDEX(Frc,J13,2)</f>
        <v>2.744974073715285</v>
      </c>
      <c r="K12" s="70"/>
    </row>
    <row r="13" spans="1:13" ht="20.100000000000001" customHeight="1" thickBot="1">
      <c r="B13" s="70"/>
      <c r="C13" s="65">
        <v>1</v>
      </c>
      <c r="D13" s="66">
        <v>4</v>
      </c>
      <c r="E13" s="66">
        <v>4</v>
      </c>
      <c r="F13" s="66">
        <v>4</v>
      </c>
      <c r="G13" s="66">
        <v>3</v>
      </c>
      <c r="H13" s="66">
        <v>1</v>
      </c>
      <c r="I13" s="66">
        <v>2</v>
      </c>
      <c r="J13" s="67">
        <v>2</v>
      </c>
      <c r="K13" s="70"/>
    </row>
    <row r="14" spans="1:13" ht="8.1" customHeight="1"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3" ht="8.1" customHeight="1" thickBot="1">
      <c r="B15" s="75"/>
      <c r="C15" s="75"/>
      <c r="D15" s="75"/>
      <c r="E15" s="75"/>
      <c r="F15" s="75"/>
      <c r="G15" s="75"/>
      <c r="H15" s="75"/>
      <c r="I15" s="75"/>
      <c r="J15" s="75"/>
      <c r="K15" s="75"/>
    </row>
    <row r="16" spans="1:13" ht="20.100000000000001" customHeight="1">
      <c r="B16" s="75"/>
      <c r="C16" s="53" t="s">
        <v>154</v>
      </c>
      <c r="D16" s="33" t="s">
        <v>31</v>
      </c>
      <c r="E16" s="31" t="s">
        <v>32</v>
      </c>
      <c r="F16" s="52" t="s">
        <v>152</v>
      </c>
      <c r="G16" s="34" t="s">
        <v>124</v>
      </c>
      <c r="H16" s="35" t="s">
        <v>125</v>
      </c>
      <c r="I16" s="52" t="s">
        <v>152</v>
      </c>
      <c r="J16" s="52" t="s">
        <v>152</v>
      </c>
      <c r="K16" s="75"/>
    </row>
    <row r="17" spans="2:11" ht="20.100000000000001" hidden="1" customHeight="1">
      <c r="B17" s="75"/>
      <c r="C17" s="76">
        <f>INDEX(Flm,C18,2)</f>
        <v>0.69915565999999996</v>
      </c>
      <c r="D17" s="77">
        <f>MIN(D23,D29)</f>
        <v>1.0799999999999998E-6</v>
      </c>
      <c r="E17" s="77">
        <f>E18*INDEX(Frc,E19,2)</f>
        <v>9806.65</v>
      </c>
      <c r="F17" s="77">
        <f>(PI()/H11/C17)^2</f>
        <v>12.922066262910748</v>
      </c>
      <c r="G17" s="77">
        <f>IF(G11=0,0,E17/G11)</f>
        <v>2724069.4444444445</v>
      </c>
      <c r="H17" s="77">
        <f>H11*G17/D5</f>
        <v>3.4050868055555554E-4</v>
      </c>
      <c r="I17" s="77"/>
      <c r="J17" s="78"/>
      <c r="K17" s="75"/>
    </row>
    <row r="18" spans="2:11" ht="20.100000000000001" customHeight="1">
      <c r="B18" s="75"/>
      <c r="C18" s="79">
        <v>3</v>
      </c>
      <c r="D18" s="104">
        <f>D17/INDEX(MIS,D19,2)</f>
        <v>107.99999999999999</v>
      </c>
      <c r="E18" s="74">
        <v>1</v>
      </c>
      <c r="F18" s="106">
        <f>IF(E17=0,"-",F17*D5*D17/E17)</f>
        <v>14.230987711342413</v>
      </c>
      <c r="G18" s="107">
        <f>G17/INDEX(Prs,G19,2)</f>
        <v>2.7240694444444444</v>
      </c>
      <c r="H18" s="107">
        <f>H17/INDEX(Lng,H19,2)</f>
        <v>0.34050868055555555</v>
      </c>
      <c r="I18" s="106">
        <f>IF(G17=0,"-",F5/G17)</f>
        <v>17.253598323586544</v>
      </c>
      <c r="J18" s="108">
        <f>IF(G17=0,"-",G5/G17)</f>
        <v>5.5064675500808127</v>
      </c>
      <c r="K18" s="75"/>
    </row>
    <row r="19" spans="2:11" ht="20.100000000000001" customHeight="1" thickBot="1">
      <c r="B19" s="75"/>
      <c r="C19" s="109" t="s">
        <v>110</v>
      </c>
      <c r="D19" s="80">
        <v>3</v>
      </c>
      <c r="E19" s="80">
        <v>3</v>
      </c>
      <c r="F19" s="110" t="s">
        <v>111</v>
      </c>
      <c r="G19" s="80">
        <v>2</v>
      </c>
      <c r="H19" s="80">
        <v>4</v>
      </c>
      <c r="I19" s="110" t="s">
        <v>7</v>
      </c>
      <c r="J19" s="111" t="s">
        <v>133</v>
      </c>
      <c r="K19" s="75"/>
    </row>
    <row r="20" spans="2:11" ht="8.1" customHeight="1"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2:11" ht="8.1" customHeight="1" thickBot="1">
      <c r="B21" s="81"/>
      <c r="C21" s="81"/>
      <c r="D21" s="81"/>
      <c r="E21" s="81"/>
      <c r="F21" s="81"/>
      <c r="G21" s="81"/>
      <c r="H21" s="81"/>
      <c r="I21" s="81"/>
      <c r="J21" s="81"/>
      <c r="K21" s="81"/>
    </row>
    <row r="22" spans="2:11" ht="20.100000000000001" customHeight="1">
      <c r="B22" s="81"/>
      <c r="C22" s="54" t="s">
        <v>155</v>
      </c>
      <c r="D22" s="31" t="s">
        <v>33</v>
      </c>
      <c r="E22" s="31" t="s">
        <v>34</v>
      </c>
      <c r="F22" s="31" t="s">
        <v>35</v>
      </c>
      <c r="G22" s="31" t="s">
        <v>36</v>
      </c>
      <c r="H22" s="36" t="s">
        <v>122</v>
      </c>
      <c r="I22" s="31" t="s">
        <v>37</v>
      </c>
      <c r="J22" s="52" t="s">
        <v>152</v>
      </c>
      <c r="K22" s="81"/>
    </row>
    <row r="23" spans="2:11" ht="20.100000000000001" hidden="1" customHeight="1">
      <c r="B23" s="81"/>
      <c r="C23" s="82">
        <f>INDEX(Fix,C24,1+C25)</f>
        <v>8</v>
      </c>
      <c r="D23" s="83">
        <f>(D11*E11^3-C11*C5^3)*INDEX(Prf,C13,5)</f>
        <v>1.0799999999999998E-6</v>
      </c>
      <c r="E23" s="83">
        <f>IF(E11=0,0,2*D23/E11)</f>
        <v>3.5999999999999994E-5</v>
      </c>
      <c r="F23" s="83">
        <f>F24*INDEX(Frc,F25,2)</f>
        <v>0</v>
      </c>
      <c r="G23" s="83">
        <f>F23*H11/C23</f>
        <v>0</v>
      </c>
      <c r="H23" s="83">
        <f>IF(E23=0,0,G23/E23)</f>
        <v>0</v>
      </c>
      <c r="I23" s="83">
        <f>IF(D23=0,0,F23*(H11^3)/D5/D23/J23)</f>
        <v>0</v>
      </c>
      <c r="J23" s="84">
        <f>INDEX(Fix,C24,3+C25)</f>
        <v>76.8</v>
      </c>
      <c r="K23" s="81"/>
    </row>
    <row r="24" spans="2:11" ht="20.100000000000001" customHeight="1">
      <c r="B24" s="81"/>
      <c r="C24" s="85">
        <v>2</v>
      </c>
      <c r="D24" s="104">
        <f>D23/INDEX(MIS,D25,2)</f>
        <v>107.99999999999999</v>
      </c>
      <c r="E24" s="104">
        <f>E23/INDEX(Vol,E25,2)</f>
        <v>35.999999999999993</v>
      </c>
      <c r="F24" s="74">
        <v>0</v>
      </c>
      <c r="G24" s="107">
        <f>G23/INDEX(MmF,G25,2)</f>
        <v>0</v>
      </c>
      <c r="H24" s="107">
        <f>H23/INDEX(Prs,H25,2)</f>
        <v>0</v>
      </c>
      <c r="I24" s="107">
        <f>I23/INDEX(Lng,I25,2)</f>
        <v>0</v>
      </c>
      <c r="J24" s="108" t="str">
        <f>IF(H23=0,"-",H5/H23)</f>
        <v>-</v>
      </c>
      <c r="K24" s="81"/>
    </row>
    <row r="25" spans="2:11" ht="20.100000000000001" customHeight="1" thickBot="1">
      <c r="B25" s="81"/>
      <c r="C25" s="86">
        <v>2</v>
      </c>
      <c r="D25" s="87">
        <v>3</v>
      </c>
      <c r="E25" s="87">
        <v>3</v>
      </c>
      <c r="F25" s="87">
        <v>2</v>
      </c>
      <c r="G25" s="87">
        <v>2</v>
      </c>
      <c r="H25" s="87">
        <v>2</v>
      </c>
      <c r="I25" s="87">
        <v>4</v>
      </c>
      <c r="J25" s="111" t="s">
        <v>9</v>
      </c>
      <c r="K25" s="81"/>
    </row>
    <row r="26" spans="2:11" ht="8.1" customHeight="1">
      <c r="B26" s="81"/>
      <c r="C26" s="81"/>
      <c r="D26" s="81"/>
      <c r="E26" s="81"/>
      <c r="F26" s="81"/>
      <c r="G26" s="81"/>
      <c r="H26" s="81"/>
      <c r="I26" s="81"/>
      <c r="J26" s="81"/>
      <c r="K26" s="81"/>
    </row>
    <row r="27" spans="2:11" ht="8.1" customHeight="1" thickBot="1">
      <c r="B27" s="88"/>
      <c r="C27" s="88"/>
      <c r="D27" s="88"/>
      <c r="E27" s="88"/>
      <c r="F27" s="88"/>
      <c r="G27" s="88"/>
      <c r="H27" s="88"/>
      <c r="I27" s="88"/>
      <c r="J27" s="88"/>
      <c r="K27" s="88"/>
    </row>
    <row r="28" spans="2:11" ht="20.100000000000001" customHeight="1">
      <c r="B28" s="88"/>
      <c r="C28" s="55" t="s">
        <v>156</v>
      </c>
      <c r="D28" s="31" t="s">
        <v>38</v>
      </c>
      <c r="E28" s="31" t="s">
        <v>39</v>
      </c>
      <c r="F28" s="31" t="s">
        <v>40</v>
      </c>
      <c r="G28" s="31" t="s">
        <v>41</v>
      </c>
      <c r="H28" s="35" t="s">
        <v>123</v>
      </c>
      <c r="I28" s="37" t="s">
        <v>126</v>
      </c>
      <c r="J28" s="52" t="s">
        <v>152</v>
      </c>
      <c r="K28" s="88"/>
    </row>
    <row r="29" spans="2:11" ht="20.100000000000001" hidden="1" customHeight="1">
      <c r="B29" s="88"/>
      <c r="C29" s="89"/>
      <c r="D29" s="90">
        <f>IF(E10="-",D23,(E11*D11^3-C5*C11^3)*INDEX(Prf,C13,5))</f>
        <v>1.0799999999999998E-6</v>
      </c>
      <c r="E29" s="90">
        <f>D23+D29</f>
        <v>2.1599999999999996E-6</v>
      </c>
      <c r="F29" s="90">
        <f>IF(D11=0,0,2*E29/D11)</f>
        <v>7.1999999999999988E-5</v>
      </c>
      <c r="G29" s="90">
        <f>G30*INDEX(MmF,G31,2)</f>
        <v>0</v>
      </c>
      <c r="H29" s="90">
        <f>IF(F29=0,0,G29/F29)</f>
        <v>0</v>
      </c>
      <c r="I29" s="90">
        <f>IF(E29=0,0,G29*H11/E5/E29)</f>
        <v>0</v>
      </c>
      <c r="J29" s="91"/>
      <c r="K29" s="88"/>
    </row>
    <row r="30" spans="2:11" ht="20.100000000000001" customHeight="1">
      <c r="B30" s="88"/>
      <c r="C30" s="112" t="str">
        <f>IF(C13=3,"","profil inadapté !")</f>
        <v>profil inadapté !</v>
      </c>
      <c r="D30" s="104">
        <f>D29/INDEX(MIS,D31,2)</f>
        <v>107.99999999999999</v>
      </c>
      <c r="E30" s="104">
        <f>E29/INDEX(MIS,E31,2)</f>
        <v>2159999.9999999995</v>
      </c>
      <c r="F30" s="104">
        <f>F29/INDEX(Vol,F31,2)</f>
        <v>71999.999999999985</v>
      </c>
      <c r="G30" s="74">
        <v>0</v>
      </c>
      <c r="H30" s="107">
        <f>H29/INDEX(Prs,H31,2)</f>
        <v>0</v>
      </c>
      <c r="I30" s="107">
        <f>I29/INDEX(Ang,I31,2)</f>
        <v>0</v>
      </c>
      <c r="J30" s="108" t="str">
        <f>IF(H29=0,"-",I5/H29)</f>
        <v>-</v>
      </c>
      <c r="K30" s="88"/>
    </row>
    <row r="31" spans="2:11" ht="20.100000000000001" customHeight="1" thickBot="1">
      <c r="B31" s="88"/>
      <c r="C31" s="113" t="s">
        <v>10</v>
      </c>
      <c r="D31" s="92">
        <v>3</v>
      </c>
      <c r="E31" s="92">
        <v>4</v>
      </c>
      <c r="F31" s="92">
        <v>4</v>
      </c>
      <c r="G31" s="92">
        <v>2</v>
      </c>
      <c r="H31" s="92">
        <v>2</v>
      </c>
      <c r="I31" s="92">
        <v>2</v>
      </c>
      <c r="J31" s="111" t="s">
        <v>10</v>
      </c>
      <c r="K31" s="88"/>
    </row>
    <row r="32" spans="2:11" s="96" customFormat="1" ht="8.1" customHeight="1">
      <c r="B32" s="93"/>
      <c r="C32" s="94"/>
      <c r="D32" s="93"/>
      <c r="E32" s="93"/>
      <c r="F32" s="93"/>
      <c r="G32" s="93"/>
      <c r="H32" s="93"/>
      <c r="I32" s="93"/>
      <c r="J32" s="95"/>
      <c r="K32" s="93"/>
    </row>
    <row r="33" spans="1:10" s="59" customFormat="1" ht="12.75">
      <c r="A33" s="58"/>
      <c r="C33" s="99" t="s">
        <v>165</v>
      </c>
      <c r="J33" s="100"/>
    </row>
    <row r="34" spans="1:10" ht="20.100000000000001" customHeight="1">
      <c r="C34" s="97"/>
    </row>
    <row r="35" spans="1:10" ht="20.100000000000001" customHeight="1">
      <c r="F35" s="98"/>
    </row>
    <row r="38" spans="1:10" ht="8.1" customHeight="1"/>
  </sheetData>
  <sheetProtection sheet="1" objects="1" scenarios="1"/>
  <dataValidations disablePrompts="1" count="1">
    <dataValidation type="list" errorStyle="warning" showDropDown="1" showInputMessage="1" showErrorMessage="1" sqref="C6">
      <formula1>"Tab"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4"/>
  <sheetViews>
    <sheetView workbookViewId="0"/>
  </sheetViews>
  <sheetFormatPr baseColWidth="10" defaultRowHeight="14.25"/>
  <cols>
    <col min="1" max="1" width="17.140625" style="9" customWidth="1"/>
    <col min="2" max="16384" width="11.42578125" style="9"/>
  </cols>
  <sheetData>
    <row r="1" spans="1:5">
      <c r="A1" s="5" t="s">
        <v>86</v>
      </c>
    </row>
    <row r="2" spans="1:5">
      <c r="A2" s="11" t="s">
        <v>131</v>
      </c>
      <c r="B2" s="11" t="s">
        <v>109</v>
      </c>
    </row>
    <row r="3" spans="1:5">
      <c r="A3" s="11" t="s">
        <v>157</v>
      </c>
      <c r="B3" s="11" t="s">
        <v>85</v>
      </c>
    </row>
    <row r="4" spans="1:5">
      <c r="A4" s="5" t="s">
        <v>97</v>
      </c>
      <c r="B4" s="12" t="s">
        <v>98</v>
      </c>
      <c r="C4" s="12" t="s">
        <v>99</v>
      </c>
      <c r="D4" s="12" t="s">
        <v>47</v>
      </c>
      <c r="E4" s="12" t="s">
        <v>134</v>
      </c>
    </row>
    <row r="5" spans="1:5" s="12" customFormat="1" ht="12" customHeight="1">
      <c r="A5" s="11" t="s">
        <v>87</v>
      </c>
      <c r="B5" s="11" t="s">
        <v>88</v>
      </c>
      <c r="C5" s="11" t="s">
        <v>109</v>
      </c>
      <c r="D5" s="11">
        <v>1</v>
      </c>
      <c r="E5" s="11">
        <f>1/12</f>
        <v>8.3333333333333329E-2</v>
      </c>
    </row>
    <row r="6" spans="1:5" s="12" customFormat="1" ht="12" customHeight="1">
      <c r="A6" s="11" t="s">
        <v>89</v>
      </c>
      <c r="B6" s="11" t="s">
        <v>90</v>
      </c>
      <c r="C6" s="11" t="s">
        <v>91</v>
      </c>
      <c r="D6" s="11">
        <v>1</v>
      </c>
      <c r="E6" s="11">
        <f>1/12</f>
        <v>8.3333333333333329E-2</v>
      </c>
    </row>
    <row r="7" spans="1:5" s="12" customFormat="1" ht="12" customHeight="1">
      <c r="A7" s="11" t="s">
        <v>92</v>
      </c>
      <c r="B7" s="11" t="s">
        <v>93</v>
      </c>
      <c r="C7" s="11" t="s">
        <v>109</v>
      </c>
      <c r="D7" s="11">
        <f>PI()/4</f>
        <v>0.78539816339744828</v>
      </c>
      <c r="E7" s="11">
        <f>PI()/64</f>
        <v>4.9087385212340517E-2</v>
      </c>
    </row>
    <row r="8" spans="1:5" s="12" customFormat="1" ht="12" customHeight="1">
      <c r="A8" s="11" t="s">
        <v>94</v>
      </c>
      <c r="B8" s="11" t="s">
        <v>95</v>
      </c>
      <c r="C8" s="11" t="s">
        <v>96</v>
      </c>
      <c r="D8" s="11">
        <f>PI()/4</f>
        <v>0.78539816339744828</v>
      </c>
      <c r="E8" s="11">
        <f>PI()/64</f>
        <v>4.9087385212340517E-2</v>
      </c>
    </row>
    <row r="9" spans="1:5">
      <c r="A9" s="13" t="s">
        <v>100</v>
      </c>
      <c r="B9" s="14" t="s">
        <v>127</v>
      </c>
      <c r="C9" s="14" t="s">
        <v>128</v>
      </c>
      <c r="D9" s="14" t="s">
        <v>129</v>
      </c>
      <c r="E9" s="14" t="s">
        <v>130</v>
      </c>
    </row>
    <row r="10" spans="1:5">
      <c r="A10" s="15" t="s">
        <v>101</v>
      </c>
      <c r="B10" s="15">
        <v>1</v>
      </c>
      <c r="C10" s="15">
        <v>2</v>
      </c>
      <c r="D10" s="15">
        <v>3</v>
      </c>
      <c r="E10" s="15">
        <v>8</v>
      </c>
    </row>
    <row r="11" spans="1:5">
      <c r="A11" s="15" t="s">
        <v>102</v>
      </c>
      <c r="B11" s="15">
        <v>4</v>
      </c>
      <c r="C11" s="15">
        <v>8</v>
      </c>
      <c r="D11" s="15">
        <v>48</v>
      </c>
      <c r="E11" s="15">
        <f>384/5</f>
        <v>76.8</v>
      </c>
    </row>
    <row r="12" spans="1:5">
      <c r="A12" s="15" t="s">
        <v>103</v>
      </c>
      <c r="B12" s="15">
        <v>8</v>
      </c>
      <c r="C12" s="15">
        <v>24</v>
      </c>
      <c r="D12" s="15">
        <v>192</v>
      </c>
      <c r="E12" s="15">
        <v>384</v>
      </c>
    </row>
    <row r="13" spans="1:5">
      <c r="A13" s="16" t="s">
        <v>104</v>
      </c>
    </row>
    <row r="14" spans="1:5">
      <c r="A14" s="17" t="s">
        <v>105</v>
      </c>
    </row>
    <row r="15" spans="1:5">
      <c r="A15" s="17" t="s">
        <v>158</v>
      </c>
      <c r="B15" s="12"/>
      <c r="C15" s="12"/>
      <c r="D15" s="12"/>
      <c r="E15" s="12"/>
    </row>
    <row r="16" spans="1:5">
      <c r="A16" s="13" t="s">
        <v>106</v>
      </c>
      <c r="B16" s="14"/>
      <c r="C16" s="12"/>
      <c r="D16" s="12"/>
      <c r="E16" s="12"/>
    </row>
    <row r="17" spans="1:5">
      <c r="A17" s="15" t="s">
        <v>101</v>
      </c>
      <c r="B17" s="15">
        <v>2</v>
      </c>
      <c r="C17" s="12"/>
      <c r="D17" s="12"/>
      <c r="E17" s="12"/>
    </row>
    <row r="18" spans="1:5">
      <c r="A18" s="15" t="s">
        <v>107</v>
      </c>
      <c r="B18" s="15">
        <v>1</v>
      </c>
      <c r="C18" s="12"/>
      <c r="D18" s="12"/>
      <c r="E18" s="12"/>
    </row>
    <row r="19" spans="1:5">
      <c r="A19" s="15" t="s">
        <v>108</v>
      </c>
      <c r="B19" s="15">
        <v>0.69915565999999996</v>
      </c>
      <c r="C19" s="12"/>
      <c r="D19" s="12"/>
      <c r="E19" s="12"/>
    </row>
    <row r="20" spans="1:5">
      <c r="A20" s="15" t="s">
        <v>103</v>
      </c>
      <c r="B20" s="15">
        <v>0.5</v>
      </c>
      <c r="C20" s="12"/>
      <c r="D20" s="12"/>
      <c r="E20" s="12"/>
    </row>
    <row r="21" spans="1:5">
      <c r="C21" s="12"/>
      <c r="D21" s="12"/>
      <c r="E21" s="12"/>
    </row>
    <row r="22" spans="1:5">
      <c r="C22" s="12"/>
      <c r="D22" s="12"/>
      <c r="E22" s="12"/>
    </row>
    <row r="23" spans="1:5">
      <c r="C23" s="12"/>
      <c r="D23" s="12"/>
      <c r="E23" s="12"/>
    </row>
    <row r="24" spans="1:5">
      <c r="C24" s="12"/>
      <c r="D24" s="12"/>
      <c r="E24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6"/>
  <sheetViews>
    <sheetView workbookViewId="0">
      <selection activeCell="A24" sqref="A24:A29"/>
    </sheetView>
  </sheetViews>
  <sheetFormatPr baseColWidth="10" defaultRowHeight="12.75"/>
  <cols>
    <col min="1" max="1" width="11.42578125" style="10"/>
    <col min="2" max="2" width="14.140625" style="25" customWidth="1"/>
    <col min="3" max="3" width="16.5703125" style="45" bestFit="1" customWidth="1"/>
    <col min="4" max="4" width="5.7109375" style="24" customWidth="1"/>
    <col min="5" max="5" width="11.42578125" style="24"/>
    <col min="6" max="6" width="5.7109375" style="24" customWidth="1"/>
    <col min="7" max="7" width="11.42578125" style="24"/>
    <col min="8" max="16384" width="11.42578125" style="10"/>
  </cols>
  <sheetData>
    <row r="1" spans="1:7">
      <c r="A1" s="5" t="s">
        <v>42</v>
      </c>
      <c r="B1" s="6" t="s">
        <v>29</v>
      </c>
      <c r="D1" s="50" t="str">
        <f>ResMat!E10</f>
        <v>-</v>
      </c>
      <c r="E1" s="47" t="s">
        <v>150</v>
      </c>
      <c r="F1" s="51" t="str">
        <f>ResMat!F10</f>
        <v>-</v>
      </c>
      <c r="G1" s="47" t="s">
        <v>151</v>
      </c>
    </row>
    <row r="2" spans="1:7">
      <c r="A2" s="7" t="s">
        <v>43</v>
      </c>
      <c r="B2" s="48">
        <v>1</v>
      </c>
      <c r="E2" s="49" t="str">
        <f>IF(D$1="-","",A2)</f>
        <v/>
      </c>
      <c r="G2" s="49" t="str">
        <f>IF(F$1="-","",A2)</f>
        <v/>
      </c>
    </row>
    <row r="3" spans="1:7">
      <c r="A3" s="7" t="s">
        <v>44</v>
      </c>
      <c r="B3" s="8">
        <v>0.1</v>
      </c>
      <c r="E3" s="49" t="str">
        <f t="shared" ref="E3:E7" si="0">IF(D$1="-","",A3)</f>
        <v/>
      </c>
      <c r="G3" s="49" t="str">
        <f t="shared" ref="G3:G7" si="1">IF(F$1="-","",A3)</f>
        <v/>
      </c>
    </row>
    <row r="4" spans="1:7">
      <c r="A4" s="7" t="s">
        <v>45</v>
      </c>
      <c r="B4" s="8">
        <v>0.01</v>
      </c>
      <c r="E4" s="49" t="str">
        <f t="shared" si="0"/>
        <v/>
      </c>
      <c r="G4" s="49" t="str">
        <f t="shared" si="1"/>
        <v/>
      </c>
    </row>
    <row r="5" spans="1:7">
      <c r="A5" s="7" t="s">
        <v>46</v>
      </c>
      <c r="B5" s="8">
        <v>1E-3</v>
      </c>
      <c r="E5" s="49" t="str">
        <f t="shared" si="0"/>
        <v/>
      </c>
      <c r="G5" s="49" t="str">
        <f t="shared" si="1"/>
        <v/>
      </c>
    </row>
    <row r="6" spans="1:7">
      <c r="A6" s="7" t="s">
        <v>135</v>
      </c>
      <c r="B6" s="8">
        <v>0.30480000000000002</v>
      </c>
      <c r="C6" s="45" t="s">
        <v>137</v>
      </c>
      <c r="E6" s="49" t="str">
        <f t="shared" si="0"/>
        <v/>
      </c>
      <c r="G6" s="49" t="str">
        <f t="shared" si="1"/>
        <v/>
      </c>
    </row>
    <row r="7" spans="1:7">
      <c r="A7" s="7" t="s">
        <v>136</v>
      </c>
      <c r="B7" s="8">
        <v>2.5399999999999999E-2</v>
      </c>
      <c r="C7" s="45" t="s">
        <v>138</v>
      </c>
      <c r="E7" s="49" t="str">
        <f t="shared" si="0"/>
        <v/>
      </c>
      <c r="G7" s="49" t="str">
        <f t="shared" si="1"/>
        <v/>
      </c>
    </row>
    <row r="8" spans="1:7">
      <c r="A8" s="5" t="s">
        <v>47</v>
      </c>
      <c r="B8" s="6" t="s">
        <v>48</v>
      </c>
    </row>
    <row r="9" spans="1:7">
      <c r="A9" s="7" t="s">
        <v>49</v>
      </c>
      <c r="B9" s="8">
        <v>1</v>
      </c>
    </row>
    <row r="10" spans="1:7">
      <c r="A10" s="7" t="s">
        <v>50</v>
      </c>
      <c r="B10" s="8">
        <v>0.01</v>
      </c>
    </row>
    <row r="11" spans="1:7">
      <c r="A11" s="7" t="s">
        <v>51</v>
      </c>
      <c r="B11" s="8">
        <v>1E-4</v>
      </c>
    </row>
    <row r="12" spans="1:7">
      <c r="A12" s="7" t="s">
        <v>52</v>
      </c>
      <c r="B12" s="8">
        <v>9.9999999999999995E-7</v>
      </c>
    </row>
    <row r="13" spans="1:7">
      <c r="A13" s="7" t="s">
        <v>139</v>
      </c>
      <c r="B13" s="8">
        <f>B6*B6</f>
        <v>9.2903040000000006E-2</v>
      </c>
    </row>
    <row r="14" spans="1:7">
      <c r="A14" s="7" t="s">
        <v>140</v>
      </c>
      <c r="B14" s="8">
        <f>B6*B7</f>
        <v>7.7419200000000002E-3</v>
      </c>
    </row>
    <row r="15" spans="1:7">
      <c r="A15" s="7" t="s">
        <v>141</v>
      </c>
      <c r="B15" s="8">
        <f>B7*B7</f>
        <v>6.4515999999999998E-4</v>
      </c>
    </row>
    <row r="16" spans="1:7">
      <c r="A16" s="5" t="s">
        <v>53</v>
      </c>
      <c r="B16" s="6" t="s">
        <v>30</v>
      </c>
    </row>
    <row r="17" spans="1:2">
      <c r="A17" s="7" t="s">
        <v>54</v>
      </c>
      <c r="B17" s="8">
        <v>1</v>
      </c>
    </row>
    <row r="18" spans="1:2">
      <c r="A18" s="7" t="s">
        <v>55</v>
      </c>
      <c r="B18" s="8">
        <v>1E-3</v>
      </c>
    </row>
    <row r="19" spans="1:2">
      <c r="A19" s="7" t="s">
        <v>56</v>
      </c>
      <c r="B19" s="8">
        <v>9.9999999999999995E-7</v>
      </c>
    </row>
    <row r="20" spans="1:2">
      <c r="A20" s="7" t="s">
        <v>57</v>
      </c>
      <c r="B20" s="8">
        <v>1.0000000000000001E-9</v>
      </c>
    </row>
    <row r="21" spans="1:2">
      <c r="A21" s="7" t="s">
        <v>143</v>
      </c>
      <c r="B21" s="8">
        <f>B6*B13</f>
        <v>2.8316846592000004E-2</v>
      </c>
    </row>
    <row r="22" spans="1:2">
      <c r="A22" s="7" t="s">
        <v>144</v>
      </c>
      <c r="B22" s="8">
        <f>B7*B15</f>
        <v>1.6387063999999999E-5</v>
      </c>
    </row>
    <row r="23" spans="1:2">
      <c r="A23" s="5" t="s">
        <v>58</v>
      </c>
      <c r="B23" s="6" t="s">
        <v>59</v>
      </c>
    </row>
    <row r="24" spans="1:2">
      <c r="A24" s="7" t="s">
        <v>159</v>
      </c>
      <c r="B24" s="8">
        <v>1</v>
      </c>
    </row>
    <row r="25" spans="1:2">
      <c r="A25" s="7" t="s">
        <v>160</v>
      </c>
      <c r="B25" s="8">
        <v>1E-4</v>
      </c>
    </row>
    <row r="26" spans="1:2">
      <c r="A26" s="7" t="s">
        <v>161</v>
      </c>
      <c r="B26" s="8">
        <v>1E-8</v>
      </c>
    </row>
    <row r="27" spans="1:2">
      <c r="A27" s="7" t="s">
        <v>162</v>
      </c>
      <c r="B27" s="8">
        <v>9.9999999999999998E-13</v>
      </c>
    </row>
    <row r="28" spans="1:2">
      <c r="A28" s="7" t="s">
        <v>163</v>
      </c>
      <c r="B28" s="8">
        <f>B6*B21</f>
        <v>8.630974841241602E-3</v>
      </c>
    </row>
    <row r="29" spans="1:2">
      <c r="A29" s="7" t="s">
        <v>164</v>
      </c>
      <c r="B29" s="8">
        <f>B7*B22</f>
        <v>4.1623142559999997E-7</v>
      </c>
    </row>
    <row r="30" spans="1:2">
      <c r="A30" s="5" t="s">
        <v>60</v>
      </c>
      <c r="B30" s="6" t="s">
        <v>61</v>
      </c>
    </row>
    <row r="31" spans="1:2">
      <c r="A31" s="7" t="s">
        <v>62</v>
      </c>
      <c r="B31" s="8">
        <v>1</v>
      </c>
    </row>
    <row r="32" spans="1:2">
      <c r="A32" s="7" t="s">
        <v>63</v>
      </c>
      <c r="B32" s="8">
        <v>9.8066499999999994</v>
      </c>
    </row>
    <row r="33" spans="1:5">
      <c r="A33" s="7" t="s">
        <v>64</v>
      </c>
      <c r="B33" s="8">
        <v>9806.65</v>
      </c>
    </row>
    <row r="34" spans="1:5">
      <c r="A34" s="7" t="s">
        <v>142</v>
      </c>
      <c r="B34" s="8">
        <v>4.4482216000000001</v>
      </c>
      <c r="E34" s="46"/>
    </row>
    <row r="35" spans="1:5">
      <c r="A35" s="5" t="s">
        <v>65</v>
      </c>
      <c r="B35" s="6" t="s">
        <v>66</v>
      </c>
    </row>
    <row r="36" spans="1:5">
      <c r="A36" s="7" t="s">
        <v>67</v>
      </c>
      <c r="B36" s="8">
        <v>1</v>
      </c>
    </row>
    <row r="37" spans="1:5">
      <c r="A37" s="7" t="s">
        <v>68</v>
      </c>
      <c r="B37" s="8">
        <v>9.8066499999999994</v>
      </c>
    </row>
    <row r="38" spans="1:5">
      <c r="A38" s="7" t="s">
        <v>69</v>
      </c>
      <c r="B38" s="8">
        <v>9.8066500000000001E-2</v>
      </c>
    </row>
    <row r="39" spans="1:5">
      <c r="A39" s="7" t="s">
        <v>148</v>
      </c>
      <c r="B39" s="8">
        <f>B34*B6</f>
        <v>1.3558179436800002</v>
      </c>
    </row>
    <row r="40" spans="1:5">
      <c r="A40" s="5" t="s">
        <v>70</v>
      </c>
      <c r="B40" s="6" t="s">
        <v>71</v>
      </c>
    </row>
    <row r="41" spans="1:5">
      <c r="A41" s="7" t="s">
        <v>11</v>
      </c>
      <c r="B41" s="8">
        <v>1</v>
      </c>
    </row>
    <row r="42" spans="1:5">
      <c r="A42" s="7" t="s">
        <v>72</v>
      </c>
      <c r="B42" s="8">
        <v>1000000</v>
      </c>
    </row>
    <row r="43" spans="1:5">
      <c r="A43" s="7" t="s">
        <v>73</v>
      </c>
      <c r="B43" s="8">
        <v>98066.5</v>
      </c>
    </row>
    <row r="44" spans="1:5">
      <c r="A44" s="7" t="s">
        <v>74</v>
      </c>
      <c r="B44" s="8">
        <v>9806650</v>
      </c>
    </row>
    <row r="45" spans="1:5">
      <c r="A45" s="7" t="s">
        <v>145</v>
      </c>
      <c r="B45" s="8">
        <f>B34/B15</f>
        <v>6894.7572695145391</v>
      </c>
    </row>
    <row r="46" spans="1:5">
      <c r="A46" s="5" t="s">
        <v>75</v>
      </c>
      <c r="B46" s="6" t="s">
        <v>76</v>
      </c>
    </row>
    <row r="47" spans="1:5">
      <c r="A47" s="7" t="s">
        <v>77</v>
      </c>
      <c r="B47" s="8">
        <v>1</v>
      </c>
    </row>
    <row r="48" spans="1:5">
      <c r="A48" s="7" t="s">
        <v>78</v>
      </c>
      <c r="B48" s="8">
        <v>1000</v>
      </c>
    </row>
    <row r="49" spans="1:2">
      <c r="A49" s="7" t="s">
        <v>79</v>
      </c>
      <c r="B49" s="8">
        <v>9.8066499999999994</v>
      </c>
    </row>
    <row r="50" spans="1:2">
      <c r="A50" s="7" t="s">
        <v>80</v>
      </c>
      <c r="B50" s="8">
        <v>9806.65</v>
      </c>
    </row>
    <row r="51" spans="1:2">
      <c r="A51" s="7" t="s">
        <v>112</v>
      </c>
      <c r="B51" s="8">
        <v>9806.65</v>
      </c>
    </row>
    <row r="52" spans="1:2">
      <c r="A52" s="7" t="s">
        <v>146</v>
      </c>
      <c r="B52" s="8">
        <f>B34/B21</f>
        <v>157.08746330732671</v>
      </c>
    </row>
    <row r="53" spans="1:2">
      <c r="A53" s="5" t="s">
        <v>81</v>
      </c>
      <c r="B53" s="6" t="s">
        <v>82</v>
      </c>
    </row>
    <row r="54" spans="1:2">
      <c r="A54" s="7" t="s">
        <v>83</v>
      </c>
      <c r="B54" s="8">
        <v>1</v>
      </c>
    </row>
    <row r="55" spans="1:2">
      <c r="A55" s="7" t="s">
        <v>84</v>
      </c>
      <c r="B55" s="8">
        <f>PI()/180</f>
        <v>1.7453292519943295E-2</v>
      </c>
    </row>
    <row r="56" spans="1:2">
      <c r="A56" s="7" t="s">
        <v>147</v>
      </c>
      <c r="B56" s="8">
        <f>2*PI()</f>
        <v>6.2831853071795862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B4" sqref="B4"/>
    </sheetView>
  </sheetViews>
  <sheetFormatPr baseColWidth="10" defaultRowHeight="15"/>
  <cols>
    <col min="1" max="1" width="21" bestFit="1" customWidth="1"/>
    <col min="2" max="2" width="12.5703125" bestFit="1" customWidth="1"/>
    <col min="3" max="4" width="15.42578125" bestFit="1" customWidth="1"/>
    <col min="5" max="5" width="14.140625" bestFit="1" customWidth="1"/>
    <col min="6" max="6" width="15.5703125" bestFit="1" customWidth="1"/>
    <col min="7" max="7" width="14.140625" bestFit="1" customWidth="1"/>
    <col min="8" max="8" width="12.85546875" bestFit="1" customWidth="1"/>
  </cols>
  <sheetData>
    <row r="1" spans="1:8" ht="15.75">
      <c r="A1" s="1"/>
      <c r="B1" s="43" t="s">
        <v>0</v>
      </c>
      <c r="C1" s="38" t="s">
        <v>1</v>
      </c>
      <c r="D1" s="39"/>
      <c r="E1" s="40" t="s">
        <v>2</v>
      </c>
      <c r="F1" s="41"/>
      <c r="G1" s="41"/>
      <c r="H1" s="42"/>
    </row>
    <row r="2" spans="1:8" ht="15.75">
      <c r="A2" s="21" t="s">
        <v>3</v>
      </c>
      <c r="B2" s="44" t="s">
        <v>4</v>
      </c>
      <c r="C2" s="22" t="s">
        <v>5</v>
      </c>
      <c r="D2" s="19" t="s">
        <v>6</v>
      </c>
      <c r="E2" s="19" t="s">
        <v>7</v>
      </c>
      <c r="F2" s="19" t="s">
        <v>8</v>
      </c>
      <c r="G2" s="19" t="s">
        <v>9</v>
      </c>
      <c r="H2" s="19" t="s">
        <v>10</v>
      </c>
    </row>
    <row r="3" spans="1:8" s="18" customFormat="1" ht="18.75">
      <c r="B3" s="23" t="s">
        <v>115</v>
      </c>
      <c r="C3" s="20" t="s">
        <v>113</v>
      </c>
      <c r="D3" s="20" t="s">
        <v>114</v>
      </c>
      <c r="E3" s="20" t="s">
        <v>116</v>
      </c>
      <c r="F3" s="20" t="s">
        <v>117</v>
      </c>
      <c r="G3" s="20" t="s">
        <v>118</v>
      </c>
      <c r="H3" s="20" t="s">
        <v>119</v>
      </c>
    </row>
    <row r="4" spans="1:8" ht="15.75">
      <c r="A4" s="2"/>
      <c r="B4" s="19" t="s">
        <v>77</v>
      </c>
      <c r="C4" s="19" t="s">
        <v>11</v>
      </c>
      <c r="D4" s="19" t="s">
        <v>11</v>
      </c>
      <c r="E4" s="19" t="s">
        <v>11</v>
      </c>
      <c r="F4" s="19" t="s">
        <v>11</v>
      </c>
      <c r="G4" s="19" t="s">
        <v>11</v>
      </c>
      <c r="H4" s="19" t="s">
        <v>11</v>
      </c>
    </row>
    <row r="5" spans="1:8">
      <c r="A5" s="3" t="s">
        <v>12</v>
      </c>
      <c r="B5" s="4">
        <v>76000</v>
      </c>
      <c r="C5" s="4">
        <v>210000000000</v>
      </c>
      <c r="D5" s="4">
        <v>80850000000</v>
      </c>
      <c r="E5" s="4">
        <v>1030000000</v>
      </c>
      <c r="F5" s="4">
        <v>1030000000</v>
      </c>
      <c r="G5" s="4">
        <v>1143000000</v>
      </c>
      <c r="H5" s="4">
        <v>685800000</v>
      </c>
    </row>
    <row r="6" spans="1:8">
      <c r="A6" s="3" t="s">
        <v>13</v>
      </c>
      <c r="B6" s="4">
        <v>76000</v>
      </c>
      <c r="C6" s="4">
        <v>210000000000</v>
      </c>
      <c r="D6" s="4">
        <v>80850000000</v>
      </c>
      <c r="E6" s="4">
        <v>225000000</v>
      </c>
      <c r="F6" s="4">
        <v>225000000</v>
      </c>
      <c r="G6" s="4">
        <v>250000000</v>
      </c>
      <c r="H6" s="4">
        <v>146000000</v>
      </c>
    </row>
    <row r="7" spans="1:8">
      <c r="A7" s="3" t="s">
        <v>14</v>
      </c>
      <c r="B7" s="4">
        <v>76000</v>
      </c>
      <c r="C7" s="4">
        <v>210000000000</v>
      </c>
      <c r="D7" s="4">
        <v>80850000000</v>
      </c>
      <c r="E7" s="4">
        <v>1470000000</v>
      </c>
      <c r="F7" s="4">
        <v>1470000000</v>
      </c>
      <c r="G7" s="4">
        <v>1630000000</v>
      </c>
      <c r="H7" s="4">
        <v>996000000</v>
      </c>
    </row>
    <row r="8" spans="1:8">
      <c r="A8" s="3" t="s">
        <v>15</v>
      </c>
      <c r="B8" s="4">
        <v>26380</v>
      </c>
      <c r="C8" s="4">
        <v>72600000000</v>
      </c>
      <c r="D8" s="4">
        <v>27951000000</v>
      </c>
      <c r="E8" s="4">
        <v>100000000</v>
      </c>
      <c r="F8" s="4">
        <v>100000000</v>
      </c>
      <c r="G8" s="4">
        <v>100000000</v>
      </c>
      <c r="H8" s="4">
        <v>60000000</v>
      </c>
    </row>
    <row r="9" spans="1:8">
      <c r="A9" s="3" t="s">
        <v>16</v>
      </c>
      <c r="B9" s="4">
        <v>23540</v>
      </c>
      <c r="C9" s="4">
        <v>35000000000</v>
      </c>
      <c r="D9" s="4">
        <v>13475000000</v>
      </c>
      <c r="E9" s="4">
        <v>2000000</v>
      </c>
      <c r="F9" s="4">
        <v>20000000</v>
      </c>
      <c r="G9" s="4">
        <v>2000000</v>
      </c>
      <c r="H9" s="4">
        <v>1200000</v>
      </c>
    </row>
    <row r="10" spans="1:8">
      <c r="A10" s="3" t="s">
        <v>17</v>
      </c>
      <c r="B10" s="4">
        <v>7943</v>
      </c>
      <c r="C10" s="4">
        <v>10500000000</v>
      </c>
      <c r="D10" s="4">
        <v>4042500000</v>
      </c>
      <c r="E10" s="4">
        <v>50000000</v>
      </c>
      <c r="F10" s="4">
        <v>16000000</v>
      </c>
      <c r="G10" s="4">
        <v>16000000</v>
      </c>
      <c r="H10" s="4">
        <v>9600000</v>
      </c>
    </row>
    <row r="11" spans="1:8">
      <c r="A11" s="3" t="s">
        <v>18</v>
      </c>
      <c r="B11" s="4">
        <v>5982</v>
      </c>
      <c r="C11" s="4">
        <v>10000000000</v>
      </c>
      <c r="D11" s="4">
        <v>3850000000</v>
      </c>
      <c r="E11" s="4">
        <v>47000000</v>
      </c>
      <c r="F11" s="4">
        <v>15000000</v>
      </c>
      <c r="G11" s="4">
        <v>15000000</v>
      </c>
      <c r="H11" s="4">
        <v>9000000</v>
      </c>
    </row>
    <row r="12" spans="1:8">
      <c r="A12" s="3" t="s">
        <v>19</v>
      </c>
      <c r="B12" s="4">
        <v>87570</v>
      </c>
      <c r="C12" s="4">
        <v>118000000000</v>
      </c>
      <c r="D12" s="4">
        <v>45430000000</v>
      </c>
      <c r="E12" s="4">
        <v>250000000</v>
      </c>
      <c r="F12" s="4">
        <v>250000000</v>
      </c>
      <c r="G12" s="4">
        <v>250000000</v>
      </c>
      <c r="H12" s="4">
        <v>150000000</v>
      </c>
    </row>
    <row r="13" spans="1:8">
      <c r="A13" s="3" t="s">
        <v>20</v>
      </c>
      <c r="B13" s="4">
        <v>27460</v>
      </c>
      <c r="C13" s="4">
        <v>72600000000</v>
      </c>
      <c r="D13" s="4">
        <v>27951000000</v>
      </c>
      <c r="E13" s="4">
        <v>100000000</v>
      </c>
      <c r="F13" s="4">
        <v>100000000</v>
      </c>
      <c r="G13" s="4">
        <v>100000000</v>
      </c>
      <c r="H13" s="4">
        <v>60000000</v>
      </c>
    </row>
    <row r="14" spans="1:8">
      <c r="A14" s="3" t="s">
        <v>21</v>
      </c>
      <c r="B14" s="4">
        <v>77080</v>
      </c>
      <c r="C14" s="4">
        <v>216000000000</v>
      </c>
      <c r="D14" s="4">
        <v>83160000000</v>
      </c>
      <c r="E14" s="4">
        <v>140000000</v>
      </c>
      <c r="F14" s="4">
        <v>140000000</v>
      </c>
      <c r="G14" s="4">
        <v>140000000</v>
      </c>
      <c r="H14" s="4">
        <v>84000000</v>
      </c>
    </row>
    <row r="15" spans="1:8">
      <c r="A15" s="3" t="s">
        <v>22</v>
      </c>
      <c r="B15" s="4">
        <v>74530</v>
      </c>
      <c r="C15" s="4">
        <v>100000000000</v>
      </c>
      <c r="D15" s="4">
        <v>38500000000</v>
      </c>
      <c r="E15" s="4">
        <v>50000000</v>
      </c>
      <c r="F15" s="4">
        <v>130000000</v>
      </c>
      <c r="G15" s="4">
        <v>130000000</v>
      </c>
      <c r="H15" s="4">
        <v>78000000</v>
      </c>
    </row>
    <row r="16" spans="1:8">
      <c r="A16" s="3" t="s">
        <v>23</v>
      </c>
      <c r="B16" s="4">
        <v>20590</v>
      </c>
      <c r="C16" s="4">
        <v>40000000000</v>
      </c>
      <c r="D16" s="4">
        <v>15400000000</v>
      </c>
      <c r="E16" s="4">
        <v>6000000</v>
      </c>
      <c r="F16" s="4">
        <v>140000000</v>
      </c>
      <c r="G16" s="4">
        <v>6000000</v>
      </c>
      <c r="H16" s="4">
        <v>3600000</v>
      </c>
    </row>
    <row r="17" spans="1:8">
      <c r="A17" s="3" t="s">
        <v>24</v>
      </c>
      <c r="B17" s="4">
        <v>82900</v>
      </c>
      <c r="C17" s="4">
        <v>110000000000</v>
      </c>
      <c r="D17" s="4">
        <v>42350000000</v>
      </c>
      <c r="E17" s="4">
        <v>294000000</v>
      </c>
      <c r="F17" s="4">
        <v>294000000</v>
      </c>
      <c r="G17" s="4">
        <v>325000000</v>
      </c>
      <c r="H17" s="4">
        <v>195000000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17</vt:i4>
      </vt:variant>
    </vt:vector>
  </HeadingPairs>
  <TitlesOfParts>
    <vt:vector size="21" baseType="lpstr">
      <vt:lpstr>ResMat</vt:lpstr>
      <vt:lpstr>Geo</vt:lpstr>
      <vt:lpstr>Unités</vt:lpstr>
      <vt:lpstr>Tables</vt:lpstr>
      <vt:lpstr>Air</vt:lpstr>
      <vt:lpstr>Ang</vt:lpstr>
      <vt:lpstr>Fix</vt:lpstr>
      <vt:lpstr>Flm</vt:lpstr>
      <vt:lpstr>Frc</vt:lpstr>
      <vt:lpstr>LnE</vt:lpstr>
      <vt:lpstr>Lng</vt:lpstr>
      <vt:lpstr>LnY</vt:lpstr>
      <vt:lpstr>MIS</vt:lpstr>
      <vt:lpstr>MmF</vt:lpstr>
      <vt:lpstr>Prf</vt:lpstr>
      <vt:lpstr>Prs</vt:lpstr>
      <vt:lpstr>PsV</vt:lpstr>
      <vt:lpstr>Rep</vt:lpstr>
      <vt:lpstr>Sec</vt:lpstr>
      <vt:lpstr>Tab</vt:lpstr>
      <vt:lpstr>Vol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</dc:creator>
  <cp:lastModifiedBy>William</cp:lastModifiedBy>
  <dcterms:created xsi:type="dcterms:W3CDTF">2016-04-12T04:30:57Z</dcterms:created>
  <dcterms:modified xsi:type="dcterms:W3CDTF">2017-03-05T08:37:12Z</dcterms:modified>
</cp:coreProperties>
</file>